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75" activeTab="0"/>
  </bookViews>
  <sheets>
    <sheet name="Sheet1" sheetId="1" r:id="rId1"/>
    <sheet name="Sheet2" sheetId="2" r:id="rId2"/>
  </sheets>
  <definedNames>
    <definedName name="_xlnm.Print_Area" localSheetId="0">'Sheet1'!$A$1:$T$45</definedName>
  </definedNames>
  <calcPr calcMode="manual" fullCalcOnLoad="1"/>
</workbook>
</file>

<file path=xl/sharedStrings.xml><?xml version="1.0" encoding="utf-8"?>
<sst xmlns="http://schemas.openxmlformats.org/spreadsheetml/2006/main" count="128" uniqueCount="94">
  <si>
    <t>Weighted Averages</t>
  </si>
  <si>
    <t>POSITIONS</t>
  </si>
  <si>
    <t>Purchase</t>
  </si>
  <si>
    <t>Total</t>
  </si>
  <si>
    <t>Latest</t>
  </si>
  <si>
    <t>Market</t>
  </si>
  <si>
    <t>% of</t>
  </si>
  <si>
    <t>Gain</t>
  </si>
  <si>
    <t>% Gain</t>
  </si>
  <si>
    <t>YTD</t>
  </si>
  <si>
    <t>Dividend</t>
  </si>
  <si>
    <t>P/E</t>
  </si>
  <si>
    <t>Projected</t>
  </si>
  <si>
    <t>PEG</t>
  </si>
  <si>
    <t>Prev</t>
  </si>
  <si>
    <t>QTD</t>
  </si>
  <si>
    <t>Symbol</t>
  </si>
  <si>
    <t>Description</t>
  </si>
  <si>
    <t>Quantity</t>
  </si>
  <si>
    <t>Price</t>
  </si>
  <si>
    <t>Date</t>
  </si>
  <si>
    <t>Comm.</t>
  </si>
  <si>
    <t>Cost</t>
  </si>
  <si>
    <t>Value</t>
  </si>
  <si>
    <t>Assets</t>
  </si>
  <si>
    <t>(Loss)</t>
  </si>
  <si>
    <t>Return</t>
  </si>
  <si>
    <t>Yield</t>
  </si>
  <si>
    <t>Ratio</t>
  </si>
  <si>
    <t>Growth Rt</t>
  </si>
  <si>
    <t>Beta</t>
  </si>
  <si>
    <t>CASH</t>
  </si>
  <si>
    <t>BGEN</t>
  </si>
  <si>
    <t>AMAT</t>
  </si>
  <si>
    <t>MOT</t>
  </si>
  <si>
    <t>GE</t>
  </si>
  <si>
    <t>DELL</t>
  </si>
  <si>
    <t>XOM</t>
  </si>
  <si>
    <t>JNJ</t>
  </si>
  <si>
    <t>MMTM</t>
  </si>
  <si>
    <t>FDX</t>
  </si>
  <si>
    <t>MRK</t>
  </si>
  <si>
    <t>PSA</t>
  </si>
  <si>
    <t>CEI</t>
  </si>
  <si>
    <t>SGP</t>
  </si>
  <si>
    <t>S&amp;P 500</t>
  </si>
  <si>
    <t>Portfolio Returns</t>
  </si>
  <si>
    <t>as of</t>
  </si>
  <si>
    <t>Cash additions (subtractions) during year</t>
  </si>
  <si>
    <t>Asset Base</t>
  </si>
  <si>
    <t>Gain since 4/1/96</t>
  </si>
  <si>
    <t>Services</t>
  </si>
  <si>
    <t>Transportation</t>
  </si>
  <si>
    <t>Sector</t>
  </si>
  <si>
    <t>Energy</t>
  </si>
  <si>
    <t>Cash additions (subtractions) during quarter</t>
  </si>
  <si>
    <t>PORTFOLIO SUMMARY</t>
  </si>
  <si>
    <t>DJIA</t>
  </si>
  <si>
    <t>S&amp;P</t>
  </si>
  <si>
    <t>NASDAQ     Spread</t>
  </si>
  <si>
    <t>Total Account Appreciation YTD</t>
  </si>
  <si>
    <t>Total Account Appreciation QTD</t>
  </si>
  <si>
    <t>Relative</t>
  </si>
  <si>
    <t>Year</t>
  </si>
  <si>
    <t>Technology</t>
  </si>
  <si>
    <t>Healthcare</t>
  </si>
  <si>
    <t>Biogen</t>
  </si>
  <si>
    <t>Applied Materials</t>
  </si>
  <si>
    <t>Motorola</t>
  </si>
  <si>
    <t>General Electric</t>
  </si>
  <si>
    <t>Dell Computer</t>
  </si>
  <si>
    <t>Exxon-Mobil</t>
  </si>
  <si>
    <t>Johnson &amp; Johnson</t>
  </si>
  <si>
    <t>Momentum Business Apps</t>
  </si>
  <si>
    <t>Federal Express</t>
  </si>
  <si>
    <t>Merck</t>
  </si>
  <si>
    <t>Public Storage</t>
  </si>
  <si>
    <t>Crescent REIT</t>
  </si>
  <si>
    <t>Schering Plough</t>
  </si>
  <si>
    <t>Portfolio</t>
  </si>
  <si>
    <t>Industrial Cyclicals</t>
  </si>
  <si>
    <t>Consumer Durables</t>
  </si>
  <si>
    <t>Consumer Non-durables</t>
  </si>
  <si>
    <t>Financials</t>
  </si>
  <si>
    <t>Retail</t>
  </si>
  <si>
    <t>(included under Services)</t>
  </si>
  <si>
    <t>MV as of 10/1/99</t>
  </si>
  <si>
    <t>Your Capital Management, Inc.</t>
  </si>
  <si>
    <t>123 Main Street</t>
  </si>
  <si>
    <t>New York, NY  USA</t>
  </si>
  <si>
    <t>(212) 555-1212</t>
  </si>
  <si>
    <t>MV as of 10/7/2005</t>
  </si>
  <si>
    <t>AAPL</t>
  </si>
  <si>
    <t>Apple Computers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</si>
</sst>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_);_(* \(#,##0.0\);_(* &quot;-&quot;??_);_(@_)"/>
    <numFmt numFmtId="167" formatCode="_(* #,##0.000_);_(* \(#,##0.000\);_(* &quot;-&quot;??_);_(@_)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sz val="10"/>
      <color indexed="12"/>
      <name val="Times New Roman"/>
      <family val="1"/>
    </font>
    <font>
      <sz val="9"/>
      <name val="Times New Roman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1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9" fontId="1" fillId="0" borderId="0" xfId="0" applyNumberFormat="1" applyFont="1" applyAlignment="1">
      <alignment/>
    </xf>
    <xf numFmtId="164" fontId="1" fillId="0" borderId="0" xfId="19" applyNumberFormat="1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39" fontId="1" fillId="0" borderId="1" xfId="0" applyNumberFormat="1" applyFont="1" applyBorder="1" applyAlignment="1">
      <alignment/>
    </xf>
    <xf numFmtId="164" fontId="1" fillId="0" borderId="1" xfId="19" applyNumberFormat="1" applyFont="1" applyBorder="1" applyAlignment="1">
      <alignment horizontal="center"/>
    </xf>
    <xf numFmtId="37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9" fontId="1" fillId="0" borderId="0" xfId="19" applyFont="1" applyAlignment="1">
      <alignment horizontal="center"/>
    </xf>
    <xf numFmtId="43" fontId="1" fillId="0" borderId="0" xfId="15" applyFont="1" applyAlignment="1">
      <alignment horizontal="center"/>
    </xf>
    <xf numFmtId="0" fontId="2" fillId="0" borderId="0" xfId="0" applyFont="1" applyAlignment="1">
      <alignment horizontal="left"/>
    </xf>
    <xf numFmtId="13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12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3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2" fontId="3" fillId="0" borderId="0" xfId="0" applyNumberFormat="1" applyFont="1" applyAlignment="1">
      <alignment horizontal="center"/>
    </xf>
    <xf numFmtId="39" fontId="3" fillId="0" borderId="0" xfId="0" applyNumberFormat="1" applyFont="1" applyAlignment="1">
      <alignment horizontal="center"/>
    </xf>
    <xf numFmtId="164" fontId="3" fillId="0" borderId="0" xfId="19" applyNumberFormat="1" applyFont="1" applyAlignment="1">
      <alignment horizontal="center"/>
    </xf>
    <xf numFmtId="0" fontId="4" fillId="0" borderId="0" xfId="0" applyFont="1" applyAlignment="1">
      <alignment horizontal="center"/>
    </xf>
    <xf numFmtId="9" fontId="3" fillId="0" borderId="0" xfId="19" applyFont="1" applyAlignment="1">
      <alignment horizontal="center"/>
    </xf>
    <xf numFmtId="43" fontId="3" fillId="0" borderId="0" xfId="15" applyFont="1" applyAlignment="1">
      <alignment horizontal="center"/>
    </xf>
    <xf numFmtId="39" fontId="1" fillId="0" borderId="0" xfId="15" applyNumberFormat="1" applyFont="1" applyAlignment="1">
      <alignment/>
    </xf>
    <xf numFmtId="43" fontId="1" fillId="0" borderId="0" xfId="15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164" fontId="1" fillId="0" borderId="0" xfId="19" applyNumberFormat="1" applyFont="1" applyAlignment="1">
      <alignment/>
    </xf>
    <xf numFmtId="164" fontId="1" fillId="0" borderId="2" xfId="19" applyNumberFormat="1" applyFont="1" applyBorder="1" applyAlignment="1">
      <alignment/>
    </xf>
    <xf numFmtId="164" fontId="0" fillId="0" borderId="0" xfId="19" applyNumberFormat="1" applyBorder="1" applyAlignment="1">
      <alignment/>
    </xf>
    <xf numFmtId="164" fontId="1" fillId="0" borderId="0" xfId="19" applyNumberFormat="1" applyFont="1" applyBorder="1" applyAlignment="1">
      <alignment/>
    </xf>
    <xf numFmtId="13" fontId="1" fillId="0" borderId="0" xfId="19" applyNumberFormat="1" applyFont="1" applyAlignment="1">
      <alignment/>
    </xf>
    <xf numFmtId="165" fontId="1" fillId="0" borderId="0" xfId="15" applyNumberFormat="1" applyFont="1" applyAlignment="1">
      <alignment/>
    </xf>
    <xf numFmtId="14" fontId="1" fillId="0" borderId="0" xfId="0" applyNumberFormat="1" applyFont="1" applyAlignment="1">
      <alignment/>
    </xf>
    <xf numFmtId="164" fontId="1" fillId="0" borderId="0" xfId="19" applyNumberFormat="1" applyFont="1" applyAlignment="1">
      <alignment/>
    </xf>
    <xf numFmtId="165" fontId="1" fillId="0" borderId="0" xfId="15" applyNumberFormat="1" applyFont="1" applyAlignment="1">
      <alignment/>
    </xf>
    <xf numFmtId="9" fontId="1" fillId="0" borderId="0" xfId="19" applyFont="1" applyAlignment="1">
      <alignment/>
    </xf>
    <xf numFmtId="166" fontId="1" fillId="0" borderId="0" xfId="15" applyNumberFormat="1" applyFont="1" applyAlignment="1">
      <alignment/>
    </xf>
    <xf numFmtId="43" fontId="1" fillId="0" borderId="0" xfId="15" applyFont="1" applyAlignment="1">
      <alignment/>
    </xf>
    <xf numFmtId="9" fontId="1" fillId="0" borderId="0" xfId="19" applyFont="1" applyAlignment="1">
      <alignment/>
    </xf>
    <xf numFmtId="43" fontId="1" fillId="0" borderId="0" xfId="15" applyNumberFormat="1" applyFont="1" applyAlignment="1">
      <alignment/>
    </xf>
    <xf numFmtId="39" fontId="1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12" fontId="1" fillId="0" borderId="2" xfId="0" applyNumberFormat="1" applyFont="1" applyBorder="1" applyAlignment="1">
      <alignment/>
    </xf>
    <xf numFmtId="43" fontId="1" fillId="0" borderId="2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2" xfId="19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9" fontId="1" fillId="0" borderId="2" xfId="19" applyNumberFormat="1" applyFont="1" applyBorder="1" applyAlignment="1">
      <alignment/>
    </xf>
    <xf numFmtId="166" fontId="1" fillId="0" borderId="2" xfId="19" applyNumberFormat="1" applyFont="1" applyBorder="1" applyAlignment="1">
      <alignment/>
    </xf>
    <xf numFmtId="43" fontId="1" fillId="0" borderId="2" xfId="15" applyFont="1" applyBorder="1" applyAlignment="1">
      <alignment/>
    </xf>
    <xf numFmtId="9" fontId="1" fillId="0" borderId="0" xfId="19" applyNumberFormat="1" applyFont="1" applyBorder="1" applyAlignment="1">
      <alignment horizontal="center"/>
    </xf>
    <xf numFmtId="43" fontId="1" fillId="0" borderId="2" xfId="15" applyFont="1" applyBorder="1" applyAlignment="1">
      <alignment/>
    </xf>
    <xf numFmtId="9" fontId="1" fillId="0" borderId="2" xfId="19" applyFont="1" applyBorder="1" applyAlignment="1">
      <alignment/>
    </xf>
    <xf numFmtId="43" fontId="1" fillId="0" borderId="0" xfId="0" applyNumberFormat="1" applyFont="1" applyAlignment="1">
      <alignment/>
    </xf>
    <xf numFmtId="164" fontId="1" fillId="0" borderId="2" xfId="0" applyNumberFormat="1" applyFont="1" applyBorder="1" applyAlignment="1">
      <alignment horizontal="right"/>
    </xf>
    <xf numFmtId="37" fontId="1" fillId="0" borderId="2" xfId="15" applyNumberFormat="1" applyFont="1" applyBorder="1" applyAlignment="1">
      <alignment/>
    </xf>
    <xf numFmtId="166" fontId="1" fillId="0" borderId="2" xfId="15" applyNumberFormat="1" applyFont="1" applyBorder="1" applyAlignment="1">
      <alignment/>
    </xf>
    <xf numFmtId="9" fontId="1" fillId="0" borderId="0" xfId="0" applyNumberFormat="1" applyFont="1" applyAlignment="1">
      <alignment/>
    </xf>
    <xf numFmtId="9" fontId="1" fillId="0" borderId="0" xfId="19" applyFont="1" applyAlignment="1">
      <alignment horizontal="right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39" fontId="3" fillId="0" borderId="0" xfId="0" applyNumberFormat="1" applyFont="1" applyAlignment="1">
      <alignment/>
    </xf>
    <xf numFmtId="14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13" fontId="1" fillId="0" borderId="0" xfId="19" applyNumberFormat="1" applyFont="1" applyAlignment="1">
      <alignment horizontal="right"/>
    </xf>
    <xf numFmtId="12" fontId="1" fillId="0" borderId="0" xfId="0" applyNumberFormat="1" applyFont="1" applyAlignment="1">
      <alignment horizontal="right"/>
    </xf>
    <xf numFmtId="13" fontId="1" fillId="0" borderId="0" xfId="19" applyNumberFormat="1" applyFont="1" applyAlignment="1">
      <alignment horizontal="left"/>
    </xf>
    <xf numFmtId="164" fontId="1" fillId="0" borderId="0" xfId="19" applyNumberFormat="1" applyFont="1" applyAlignment="1">
      <alignment horizontal="right"/>
    </xf>
    <xf numFmtId="0" fontId="5" fillId="0" borderId="3" xfId="0" applyFont="1" applyBorder="1" applyAlignment="1">
      <alignment horizontal="right"/>
    </xf>
    <xf numFmtId="9" fontId="5" fillId="0" borderId="4" xfId="19" applyFont="1" applyFill="1" applyBorder="1" applyAlignment="1">
      <alignment horizontal="right"/>
    </xf>
    <xf numFmtId="9" fontId="5" fillId="0" borderId="5" xfId="19" applyFont="1" applyFill="1" applyBorder="1" applyAlignment="1">
      <alignment horizontal="right"/>
    </xf>
    <xf numFmtId="10" fontId="1" fillId="0" borderId="0" xfId="0" applyNumberFormat="1" applyFont="1" applyAlignment="1">
      <alignment/>
    </xf>
    <xf numFmtId="13" fontId="1" fillId="0" borderId="0" xfId="19" applyNumberFormat="1" applyFont="1" applyAlignment="1">
      <alignment horizontal="center"/>
    </xf>
    <xf numFmtId="2" fontId="1" fillId="0" borderId="0" xfId="15" applyNumberFormat="1" applyFont="1" applyAlignment="1">
      <alignment horizontal="center"/>
    </xf>
    <xf numFmtId="2" fontId="1" fillId="0" borderId="0" xfId="19" applyNumberFormat="1" applyFont="1" applyAlignment="1">
      <alignment/>
    </xf>
    <xf numFmtId="0" fontId="6" fillId="0" borderId="0" xfId="0" applyFont="1" applyAlignment="1">
      <alignment/>
    </xf>
    <xf numFmtId="13" fontId="6" fillId="0" borderId="0" xfId="0" applyNumberFormat="1" applyFont="1" applyAlignment="1">
      <alignment horizontal="center"/>
    </xf>
    <xf numFmtId="12" fontId="6" fillId="0" borderId="0" xfId="0" applyNumberFormat="1" applyFont="1" applyAlignment="1">
      <alignment/>
    </xf>
    <xf numFmtId="0" fontId="7" fillId="0" borderId="0" xfId="0" applyFont="1" applyAlignment="1">
      <alignment/>
    </xf>
    <xf numFmtId="13" fontId="6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left"/>
    </xf>
    <xf numFmtId="0" fontId="6" fillId="0" borderId="1" xfId="0" applyFont="1" applyBorder="1" applyAlignment="1">
      <alignment/>
    </xf>
    <xf numFmtId="13" fontId="6" fillId="0" borderId="1" xfId="0" applyNumberFormat="1" applyFont="1" applyBorder="1" applyAlignment="1">
      <alignment horizontal="center"/>
    </xf>
    <xf numFmtId="12" fontId="6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tabSelected="1" zoomScale="75" zoomScaleNormal="75" workbookViewId="0" topLeftCell="A1">
      <selection activeCell="J20" sqref="J20"/>
    </sheetView>
  </sheetViews>
  <sheetFormatPr defaultColWidth="9.140625" defaultRowHeight="12.75"/>
  <cols>
    <col min="1" max="1" width="7.57421875" style="0" customWidth="1"/>
    <col min="2" max="2" width="15.7109375" style="0" customWidth="1"/>
    <col min="3" max="3" width="27.421875" style="0" bestFit="1" customWidth="1"/>
    <col min="4" max="4" width="10.7109375" style="0" bestFit="1" customWidth="1"/>
    <col min="5" max="5" width="8.00390625" style="74" customWidth="1"/>
    <col min="6" max="6" width="8.8515625" style="0" customWidth="1"/>
    <col min="7" max="7" width="7.140625" style="0" customWidth="1"/>
    <col min="8" max="8" width="10.8515625" style="0" customWidth="1"/>
    <col min="9" max="9" width="5.28125" style="0" customWidth="1"/>
    <col min="10" max="10" width="8.8515625" style="0" customWidth="1"/>
    <col min="11" max="11" width="13.57421875" style="0" customWidth="1"/>
    <col min="12" max="12" width="7.00390625" style="0" customWidth="1"/>
    <col min="13" max="13" width="10.28125" style="0" customWidth="1"/>
    <col min="14" max="14" width="8.140625" style="0" customWidth="1"/>
    <col min="15" max="15" width="9.00390625" style="0" customWidth="1"/>
    <col min="16" max="16" width="8.140625" style="0" customWidth="1"/>
    <col min="17" max="17" width="5.7109375" style="0" customWidth="1"/>
    <col min="18" max="18" width="9.421875" style="0" bestFit="1" customWidth="1"/>
    <col min="19" max="20" width="5.7109375" style="0" customWidth="1"/>
    <col min="23" max="23" width="8.8515625" style="74" customWidth="1"/>
    <col min="24" max="24" width="6.8515625" style="0" customWidth="1"/>
    <col min="25" max="25" width="6.140625" style="0" customWidth="1"/>
    <col min="26" max="26" width="6.57421875" style="0" customWidth="1"/>
    <col min="27" max="27" width="10.421875" style="0" bestFit="1" customWidth="1"/>
    <col min="28" max="29" width="5.7109375" style="0" customWidth="1"/>
  </cols>
  <sheetData>
    <row r="1" spans="1:29" ht="12.75">
      <c r="A1" s="88" t="s">
        <v>87</v>
      </c>
      <c r="B1" s="88"/>
      <c r="C1" s="88"/>
      <c r="D1" s="88"/>
      <c r="E1" s="89"/>
      <c r="F1" s="88"/>
      <c r="G1" s="88"/>
      <c r="H1" s="88"/>
      <c r="I1" s="88"/>
      <c r="J1" s="88"/>
      <c r="K1" s="90"/>
      <c r="L1" s="88"/>
      <c r="M1" s="4"/>
      <c r="N1" s="1"/>
      <c r="O1" s="1"/>
      <c r="P1" s="5"/>
      <c r="Q1" s="3"/>
      <c r="R1" s="3"/>
      <c r="S1" s="3"/>
      <c r="T1" s="3"/>
      <c r="U1" s="1"/>
      <c r="V1" s="1"/>
      <c r="W1" s="3"/>
      <c r="X1" s="1"/>
      <c r="Y1" s="1"/>
      <c r="Z1" s="1"/>
      <c r="AA1" s="1"/>
      <c r="AB1" s="1"/>
      <c r="AC1" s="1"/>
    </row>
    <row r="2" spans="1:29" ht="12.75">
      <c r="A2" s="88" t="s">
        <v>88</v>
      </c>
      <c r="B2" s="88"/>
      <c r="C2" s="88"/>
      <c r="D2" s="88"/>
      <c r="E2" s="89"/>
      <c r="F2" s="88"/>
      <c r="G2" s="88"/>
      <c r="H2" s="88"/>
      <c r="I2" s="88"/>
      <c r="J2" s="88"/>
      <c r="K2" s="90"/>
      <c r="L2" s="88"/>
      <c r="M2" s="4"/>
      <c r="N2" s="1"/>
      <c r="O2" s="1"/>
      <c r="P2" s="5"/>
      <c r="Q2" s="3"/>
      <c r="R2" s="3"/>
      <c r="S2" s="3"/>
      <c r="T2" s="3"/>
      <c r="U2" s="1"/>
      <c r="V2" s="1"/>
      <c r="W2" s="3"/>
      <c r="X2" s="1"/>
      <c r="Y2" s="1"/>
      <c r="Z2" s="1"/>
      <c r="AA2" s="1"/>
      <c r="AB2" s="1"/>
      <c r="AC2" s="1"/>
    </row>
    <row r="3" spans="1:29" ht="12.75">
      <c r="A3" s="88" t="s">
        <v>89</v>
      </c>
      <c r="B3" s="88"/>
      <c r="C3" s="88"/>
      <c r="D3" s="88"/>
      <c r="E3" s="89"/>
      <c r="F3" s="88"/>
      <c r="G3" s="88"/>
      <c r="H3" s="91"/>
      <c r="I3" s="91"/>
      <c r="J3" s="92" t="s">
        <v>79</v>
      </c>
      <c r="K3" s="93">
        <v>38632</v>
      </c>
      <c r="L3" s="88"/>
      <c r="M3" s="4"/>
      <c r="N3" s="1"/>
      <c r="O3" s="1"/>
      <c r="P3" s="5"/>
      <c r="Q3" s="3"/>
      <c r="R3" s="3"/>
      <c r="S3" s="3"/>
      <c r="T3" s="3"/>
      <c r="U3" s="1"/>
      <c r="V3" s="1"/>
      <c r="W3" s="3"/>
      <c r="X3" s="1"/>
      <c r="Y3" s="1"/>
      <c r="Z3" s="1"/>
      <c r="AA3" s="1"/>
      <c r="AB3" s="1"/>
      <c r="AC3" s="1"/>
    </row>
    <row r="4" spans="1:29" ht="13.5" thickBot="1">
      <c r="A4" s="94" t="s">
        <v>90</v>
      </c>
      <c r="B4" s="94"/>
      <c r="C4" s="94"/>
      <c r="D4" s="94"/>
      <c r="E4" s="95"/>
      <c r="F4" s="94"/>
      <c r="G4" s="94"/>
      <c r="H4" s="94"/>
      <c r="I4" s="94"/>
      <c r="J4" s="94"/>
      <c r="K4" s="96"/>
      <c r="L4" s="94"/>
      <c r="M4" s="8"/>
      <c r="N4" s="6"/>
      <c r="O4" s="6"/>
      <c r="P4" s="9"/>
      <c r="Q4" s="7"/>
      <c r="R4" s="7"/>
      <c r="S4" s="7"/>
      <c r="T4" s="7"/>
      <c r="U4" s="6"/>
      <c r="V4" s="6"/>
      <c r="W4" s="7"/>
      <c r="X4" s="6"/>
      <c r="Y4" s="6"/>
      <c r="Z4" s="6"/>
      <c r="AA4" s="6"/>
      <c r="AB4" s="6"/>
      <c r="AC4" s="6"/>
    </row>
    <row r="5" spans="1:29" ht="12.75">
      <c r="A5" s="1"/>
      <c r="B5" s="1"/>
      <c r="C5" s="1"/>
      <c r="D5" s="10"/>
      <c r="E5" s="16"/>
      <c r="F5" s="11"/>
      <c r="G5" s="1"/>
      <c r="H5" s="2"/>
      <c r="I5" s="1"/>
      <c r="J5" s="1"/>
      <c r="K5" s="2"/>
      <c r="L5" s="1"/>
      <c r="M5" s="4"/>
      <c r="N5" s="1"/>
      <c r="O5" s="1"/>
      <c r="P5" s="5"/>
      <c r="Q5" s="3"/>
      <c r="R5" s="3"/>
      <c r="S5" s="3"/>
      <c r="T5" s="12"/>
      <c r="U5" s="1"/>
      <c r="V5" s="1"/>
      <c r="W5" s="3"/>
      <c r="X5" s="3"/>
      <c r="Y5" s="3"/>
      <c r="Z5" s="13" t="s">
        <v>0</v>
      </c>
      <c r="AA5" s="14"/>
      <c r="AB5" s="14"/>
      <c r="AC5" s="1"/>
    </row>
    <row r="6" spans="1:29" ht="12.75">
      <c r="A6" s="15" t="s">
        <v>1</v>
      </c>
      <c r="B6" s="15"/>
      <c r="C6" s="3"/>
      <c r="D6" s="3"/>
      <c r="E6" s="16" t="s">
        <v>2</v>
      </c>
      <c r="F6" s="3" t="s">
        <v>2</v>
      </c>
      <c r="G6" s="17"/>
      <c r="H6" s="3" t="s">
        <v>3</v>
      </c>
      <c r="J6" s="18" t="s">
        <v>4</v>
      </c>
      <c r="K6" s="3" t="s">
        <v>5</v>
      </c>
      <c r="L6" s="3" t="s">
        <v>6</v>
      </c>
      <c r="M6" s="19" t="s">
        <v>7</v>
      </c>
      <c r="N6" s="3" t="s">
        <v>8</v>
      </c>
      <c r="O6" s="3" t="s">
        <v>9</v>
      </c>
      <c r="P6" s="5" t="s">
        <v>10</v>
      </c>
      <c r="Q6" s="3" t="s">
        <v>11</v>
      </c>
      <c r="R6" s="3" t="s">
        <v>12</v>
      </c>
      <c r="S6" s="3" t="s">
        <v>13</v>
      </c>
      <c r="T6" s="12"/>
      <c r="U6" s="3"/>
      <c r="V6" s="3"/>
      <c r="W6" s="3" t="s">
        <v>14</v>
      </c>
      <c r="X6" s="20" t="s">
        <v>15</v>
      </c>
      <c r="Y6" s="5" t="s">
        <v>10</v>
      </c>
      <c r="Z6" s="13" t="s">
        <v>11</v>
      </c>
      <c r="AA6" s="14" t="s">
        <v>12</v>
      </c>
      <c r="AB6" s="3" t="s">
        <v>13</v>
      </c>
      <c r="AC6" s="3"/>
    </row>
    <row r="7" spans="1:29" ht="12.75">
      <c r="A7" s="21" t="s">
        <v>16</v>
      </c>
      <c r="B7" s="21" t="s">
        <v>53</v>
      </c>
      <c r="C7" s="21" t="s">
        <v>17</v>
      </c>
      <c r="D7" s="22" t="s">
        <v>18</v>
      </c>
      <c r="E7" s="23" t="s">
        <v>19</v>
      </c>
      <c r="F7" s="22" t="s">
        <v>20</v>
      </c>
      <c r="G7" s="24" t="s">
        <v>21</v>
      </c>
      <c r="H7" s="22" t="s">
        <v>22</v>
      </c>
      <c r="I7" s="25"/>
      <c r="J7" s="26" t="s">
        <v>19</v>
      </c>
      <c r="K7" s="22" t="s">
        <v>23</v>
      </c>
      <c r="L7" s="22" t="s">
        <v>24</v>
      </c>
      <c r="M7" s="27" t="s">
        <v>25</v>
      </c>
      <c r="N7" s="22" t="s">
        <v>25</v>
      </c>
      <c r="O7" s="22" t="s">
        <v>26</v>
      </c>
      <c r="P7" s="28" t="s">
        <v>27</v>
      </c>
      <c r="Q7" s="22" t="s">
        <v>28</v>
      </c>
      <c r="R7" s="22" t="s">
        <v>29</v>
      </c>
      <c r="S7" s="22" t="s">
        <v>28</v>
      </c>
      <c r="T7" s="22" t="s">
        <v>30</v>
      </c>
      <c r="U7" s="22"/>
      <c r="V7" s="22"/>
      <c r="W7" s="22" t="s">
        <v>63</v>
      </c>
      <c r="X7" s="29" t="s">
        <v>26</v>
      </c>
      <c r="Y7" s="28" t="s">
        <v>27</v>
      </c>
      <c r="Z7" s="30" t="s">
        <v>28</v>
      </c>
      <c r="AA7" s="31" t="s">
        <v>29</v>
      </c>
      <c r="AB7" s="22" t="s">
        <v>28</v>
      </c>
      <c r="AC7" s="22" t="s">
        <v>30</v>
      </c>
    </row>
    <row r="8" spans="1:29" ht="12.75">
      <c r="A8" s="1" t="s">
        <v>31</v>
      </c>
      <c r="B8" s="1"/>
      <c r="C8" s="1" t="s">
        <v>31</v>
      </c>
      <c r="D8" s="32">
        <v>11962.93</v>
      </c>
      <c r="E8" s="16">
        <v>1</v>
      </c>
      <c r="F8" s="1"/>
      <c r="G8" s="11">
        <v>0</v>
      </c>
      <c r="H8" s="4">
        <f>-D8*E8+G8</f>
        <v>-11962.93</v>
      </c>
      <c r="J8" s="11">
        <v>1</v>
      </c>
      <c r="K8" s="33">
        <f>J8*D8</f>
        <v>11962.93</v>
      </c>
      <c r="L8" s="34">
        <f>K8/$K$30</f>
        <v>0.11224005457508734</v>
      </c>
      <c r="M8" s="4">
        <f>K8+H8</f>
        <v>0</v>
      </c>
      <c r="N8" s="34">
        <v>0</v>
      </c>
      <c r="O8" s="36">
        <f>P8/4</f>
        <v>0.0115</v>
      </c>
      <c r="P8" s="36">
        <v>0.046</v>
      </c>
      <c r="Q8" s="3"/>
      <c r="R8" s="3"/>
      <c r="S8" s="3"/>
      <c r="T8" s="3"/>
      <c r="U8" s="1"/>
      <c r="V8" s="1"/>
      <c r="W8" s="3"/>
      <c r="X8" s="3"/>
      <c r="Z8" s="5"/>
      <c r="AA8" s="3"/>
      <c r="AB8" s="3"/>
      <c r="AC8" s="3"/>
    </row>
    <row r="9" spans="1:29" ht="12.75">
      <c r="A9" s="1"/>
      <c r="B9" s="1"/>
      <c r="C9" s="1"/>
      <c r="D9" s="10"/>
      <c r="E9" s="16"/>
      <c r="F9" s="1"/>
      <c r="G9" s="11"/>
      <c r="H9" s="1"/>
      <c r="J9" s="2"/>
      <c r="K9" s="1"/>
      <c r="L9" s="2"/>
      <c r="M9" s="4"/>
      <c r="N9" s="1"/>
      <c r="O9" s="37">
        <f>P9/4</f>
        <v>0.0115</v>
      </c>
      <c r="P9" s="37">
        <v>0.046</v>
      </c>
      <c r="Q9" s="3"/>
      <c r="R9" s="3"/>
      <c r="S9" s="3"/>
      <c r="T9" s="3"/>
      <c r="U9" s="1"/>
      <c r="V9" s="1"/>
      <c r="W9" s="3"/>
      <c r="X9" s="1"/>
      <c r="Z9" s="36"/>
      <c r="AA9" s="1"/>
      <c r="AB9" s="1"/>
      <c r="AC9" s="1"/>
    </row>
    <row r="10" spans="1:29" ht="12.75">
      <c r="A10" s="1"/>
      <c r="B10" s="1"/>
      <c r="C10" s="1"/>
      <c r="D10" s="10"/>
      <c r="E10" s="16"/>
      <c r="F10" s="1"/>
      <c r="G10" s="11"/>
      <c r="H10" s="1"/>
      <c r="J10" s="2"/>
      <c r="K10" s="1"/>
      <c r="L10" s="2"/>
      <c r="M10" s="4"/>
      <c r="N10" s="1"/>
      <c r="O10" s="38"/>
      <c r="P10" s="39"/>
      <c r="Q10" s="3"/>
      <c r="R10" s="3"/>
      <c r="S10" s="3"/>
      <c r="T10" s="3"/>
      <c r="U10" s="1"/>
      <c r="V10" s="1"/>
      <c r="W10" s="3"/>
      <c r="X10" s="1"/>
      <c r="Z10" s="36"/>
      <c r="AA10" s="1"/>
      <c r="AB10" s="1"/>
      <c r="AC10" s="1"/>
    </row>
    <row r="11" spans="1:29" ht="12.75">
      <c r="A11" s="1" t="s">
        <v>37</v>
      </c>
      <c r="B11" s="40" t="s">
        <v>54</v>
      </c>
      <c r="C11" s="40" t="s">
        <v>71</v>
      </c>
      <c r="D11" s="41">
        <v>100</v>
      </c>
      <c r="E11" s="86">
        <f>80.5/2</f>
        <v>40.25</v>
      </c>
      <c r="F11" s="42">
        <v>35065</v>
      </c>
      <c r="G11" s="11">
        <v>0</v>
      </c>
      <c r="H11" s="4">
        <f>-D11*E11+G11</f>
        <v>-4025</v>
      </c>
      <c r="J11" s="87">
        <v>62</v>
      </c>
      <c r="K11" s="33">
        <f>J11*D11</f>
        <v>6200</v>
      </c>
      <c r="L11" s="34">
        <f aca="true" t="shared" si="0" ref="L11:L24">K11/$K$30</f>
        <v>0.05817039290253654</v>
      </c>
      <c r="M11" s="4">
        <f>K11+H11</f>
        <v>2175</v>
      </c>
      <c r="N11" s="34">
        <f aca="true" t="shared" si="1" ref="N11:N25">-M11/H11</f>
        <v>0.5403726708074534</v>
      </c>
      <c r="O11" s="43">
        <f aca="true" t="shared" si="2" ref="O11:O24">(J11/W11)-1</f>
        <v>-0.15213675213675215</v>
      </c>
      <c r="P11" s="43">
        <v>0.0203</v>
      </c>
      <c r="Q11" s="44">
        <v>42.03</v>
      </c>
      <c r="R11" s="45">
        <v>0.089</v>
      </c>
      <c r="S11" s="46">
        <f aca="true" t="shared" si="3" ref="S11:S26">Q11/(R11*100)</f>
        <v>4.722471910112359</v>
      </c>
      <c r="T11" s="47">
        <v>0.65</v>
      </c>
      <c r="U11" s="13"/>
      <c r="V11" s="13"/>
      <c r="W11" s="85">
        <v>73.125</v>
      </c>
      <c r="X11" s="36">
        <f aca="true" t="shared" si="4" ref="X11:X24">$L11*O11/$L$25</f>
        <v>-0.009968747398796912</v>
      </c>
      <c r="Y11" s="36">
        <f aca="true" t="shared" si="5" ref="Y11:Y24">$L11*P11/$L$25</f>
        <v>0.001330155727352952</v>
      </c>
      <c r="Z11" s="33">
        <f aca="true" t="shared" si="6" ref="Z11:Z24">$L11*Q11/$L$25</f>
        <v>2.754012079834708</v>
      </c>
      <c r="AA11" s="48">
        <f aca="true" t="shared" si="7" ref="AA11:AA24">$L11*R11/$L$25</f>
        <v>0.005831717228296193</v>
      </c>
      <c r="AB11" s="49">
        <f aca="true" t="shared" si="8" ref="AB11:AB24">$L11*S11/$L$25</f>
        <v>0.3094395595319896</v>
      </c>
      <c r="AC11" s="33">
        <f aca="true" t="shared" si="9" ref="AC11:AC24">$L11*T11/$L$25</f>
        <v>0.042591193240365456</v>
      </c>
    </row>
    <row r="12" spans="1:29" ht="12.75">
      <c r="A12" s="1" t="s">
        <v>32</v>
      </c>
      <c r="B12" s="40" t="s">
        <v>65</v>
      </c>
      <c r="C12" s="40" t="s">
        <v>66</v>
      </c>
      <c r="D12" s="41">
        <f>80*2*2</f>
        <v>320</v>
      </c>
      <c r="E12" s="86">
        <f>59.75/2/2</f>
        <v>14.9375</v>
      </c>
      <c r="F12" s="42">
        <v>35171</v>
      </c>
      <c r="G12" s="11">
        <v>49.5</v>
      </c>
      <c r="H12" s="4">
        <f aca="true" t="shared" si="10" ref="H12:H24">-D12*E12+G12</f>
        <v>-4730.5</v>
      </c>
      <c r="J12" s="87">
        <v>42</v>
      </c>
      <c r="K12" s="33">
        <f aca="true" t="shared" si="11" ref="K12:K24">J12*D12</f>
        <v>13440</v>
      </c>
      <c r="L12" s="34">
        <f t="shared" si="0"/>
        <v>0.12609840009840179</v>
      </c>
      <c r="M12" s="4">
        <f aca="true" t="shared" si="12" ref="M12:M24">K12+H12</f>
        <v>8709.5</v>
      </c>
      <c r="N12" s="34">
        <f t="shared" si="1"/>
        <v>1.8411373004967762</v>
      </c>
      <c r="O12" s="43">
        <f t="shared" si="2"/>
        <v>1.0240963855421685</v>
      </c>
      <c r="P12" s="43">
        <v>0</v>
      </c>
      <c r="Q12" s="44">
        <v>66.63</v>
      </c>
      <c r="R12" s="45">
        <v>0.242</v>
      </c>
      <c r="S12" s="46">
        <f t="shared" si="3"/>
        <v>2.753305785123967</v>
      </c>
      <c r="T12" s="47">
        <v>0.76</v>
      </c>
      <c r="U12" s="13"/>
      <c r="V12" s="13"/>
      <c r="W12" s="85">
        <v>20.75</v>
      </c>
      <c r="X12" s="36">
        <f t="shared" si="4"/>
        <v>0.14546377816315434</v>
      </c>
      <c r="Y12" s="36">
        <f t="shared" si="5"/>
        <v>0</v>
      </c>
      <c r="Z12" s="33">
        <f t="shared" si="6"/>
        <v>9.464198561622478</v>
      </c>
      <c r="AA12" s="48">
        <f t="shared" si="7"/>
        <v>0.034373946449236685</v>
      </c>
      <c r="AB12" s="49">
        <f t="shared" si="8"/>
        <v>0.3910825851910116</v>
      </c>
      <c r="AC12" s="33">
        <f t="shared" si="9"/>
        <v>0.10795123678272678</v>
      </c>
    </row>
    <row r="13" spans="1:29" ht="12.75">
      <c r="A13" s="1" t="s">
        <v>38</v>
      </c>
      <c r="B13" s="40" t="s">
        <v>65</v>
      </c>
      <c r="C13" s="40" t="s">
        <v>72</v>
      </c>
      <c r="D13" s="41">
        <v>102</v>
      </c>
      <c r="E13" s="86">
        <f>30.875*160/102</f>
        <v>48.431372549019606</v>
      </c>
      <c r="F13" s="42">
        <v>35809</v>
      </c>
      <c r="G13" s="11">
        <v>29.95</v>
      </c>
      <c r="H13" s="4">
        <f t="shared" si="10"/>
        <v>-4910.05</v>
      </c>
      <c r="J13" s="87">
        <v>65</v>
      </c>
      <c r="K13" s="33">
        <f t="shared" si="11"/>
        <v>6630</v>
      </c>
      <c r="L13" s="34">
        <f t="shared" si="0"/>
        <v>0.06220479111997053</v>
      </c>
      <c r="M13" s="4">
        <f t="shared" si="12"/>
        <v>1719.9499999999998</v>
      </c>
      <c r="N13" s="34">
        <f t="shared" si="1"/>
        <v>0.35029174855653195</v>
      </c>
      <c r="O13" s="43">
        <f t="shared" si="2"/>
        <v>-0.22503725782414308</v>
      </c>
      <c r="P13" s="43">
        <v>0.0112</v>
      </c>
      <c r="Q13" s="44">
        <v>37.89</v>
      </c>
      <c r="R13" s="45">
        <v>0.132</v>
      </c>
      <c r="S13" s="46">
        <f t="shared" si="3"/>
        <v>2.870454545454545</v>
      </c>
      <c r="T13" s="47">
        <v>1.01</v>
      </c>
      <c r="U13" s="13"/>
      <c r="V13" s="13"/>
      <c r="W13" s="85">
        <v>83.875</v>
      </c>
      <c r="X13" s="36">
        <f t="shared" si="4"/>
        <v>-0.01576822167896036</v>
      </c>
      <c r="Y13" s="36">
        <f t="shared" si="5"/>
        <v>0.0007847770831902178</v>
      </c>
      <c r="Z13" s="33">
        <f t="shared" si="6"/>
        <v>2.6549289001854777</v>
      </c>
      <c r="AA13" s="48">
        <f t="shared" si="7"/>
        <v>0.009249158480456139</v>
      </c>
      <c r="AB13" s="49">
        <f t="shared" si="8"/>
        <v>0.2011309772867786</v>
      </c>
      <c r="AC13" s="33">
        <f t="shared" si="9"/>
        <v>0.07077007625197498</v>
      </c>
    </row>
    <row r="14" spans="1:29" ht="12.75">
      <c r="A14" s="1" t="s">
        <v>41</v>
      </c>
      <c r="B14" s="40" t="s">
        <v>65</v>
      </c>
      <c r="C14" s="40" t="s">
        <v>75</v>
      </c>
      <c r="D14" s="41">
        <f>80*2</f>
        <v>160</v>
      </c>
      <c r="E14" s="86">
        <f>60.125/2</f>
        <v>30.0625</v>
      </c>
      <c r="F14" s="42">
        <v>35171</v>
      </c>
      <c r="G14" s="11">
        <v>49.5</v>
      </c>
      <c r="H14" s="4">
        <f t="shared" si="10"/>
        <v>-4760.5</v>
      </c>
      <c r="J14" s="87">
        <v>25</v>
      </c>
      <c r="K14" s="33">
        <f t="shared" si="11"/>
        <v>4000</v>
      </c>
      <c r="L14" s="34">
        <f t="shared" si="0"/>
        <v>0.03752928574357196</v>
      </c>
      <c r="M14" s="4">
        <f t="shared" si="12"/>
        <v>-760.5</v>
      </c>
      <c r="N14" s="34">
        <f t="shared" si="1"/>
        <v>-0.15975212687742885</v>
      </c>
      <c r="O14" s="43">
        <f t="shared" si="2"/>
        <v>-0.6610169491525424</v>
      </c>
      <c r="P14" s="43">
        <v>0.0166</v>
      </c>
      <c r="Q14" s="44">
        <v>29.43</v>
      </c>
      <c r="R14" s="45">
        <v>0.125</v>
      </c>
      <c r="S14" s="46">
        <f t="shared" si="3"/>
        <v>2.3544</v>
      </c>
      <c r="T14" s="47">
        <v>1.09</v>
      </c>
      <c r="U14" s="13"/>
      <c r="V14" s="13"/>
      <c r="W14" s="85">
        <v>73.75</v>
      </c>
      <c r="X14" s="36">
        <f t="shared" si="4"/>
        <v>-0.027943921207456836</v>
      </c>
      <c r="Y14" s="36">
        <f t="shared" si="5"/>
        <v>0.0007017506777072621</v>
      </c>
      <c r="Z14" s="33">
        <f t="shared" si="6"/>
        <v>1.2441278581279955</v>
      </c>
      <c r="AA14" s="48">
        <f t="shared" si="7"/>
        <v>0.005284267151410106</v>
      </c>
      <c r="AB14" s="49">
        <f t="shared" si="8"/>
        <v>0.09953022865023964</v>
      </c>
      <c r="AC14" s="33">
        <f t="shared" si="9"/>
        <v>0.04607880956029613</v>
      </c>
    </row>
    <row r="15" spans="1:29" ht="12.75">
      <c r="A15" s="1" t="s">
        <v>44</v>
      </c>
      <c r="B15" s="40" t="s">
        <v>65</v>
      </c>
      <c r="C15" s="40" t="s">
        <v>78</v>
      </c>
      <c r="D15" s="41">
        <f>85*2</f>
        <v>170</v>
      </c>
      <c r="E15" s="86">
        <f>58/2/2</f>
        <v>14.5</v>
      </c>
      <c r="F15" s="42">
        <v>35171</v>
      </c>
      <c r="G15" s="11">
        <v>49.5</v>
      </c>
      <c r="H15" s="4">
        <f t="shared" si="10"/>
        <v>-2415.5</v>
      </c>
      <c r="J15" s="87">
        <v>15</v>
      </c>
      <c r="K15" s="33">
        <f t="shared" si="11"/>
        <v>2550</v>
      </c>
      <c r="L15" s="34">
        <f t="shared" si="0"/>
        <v>0.023924919661527128</v>
      </c>
      <c r="M15" s="4">
        <f t="shared" si="12"/>
        <v>134.5</v>
      </c>
      <c r="N15" s="34">
        <f t="shared" si="1"/>
        <v>0.055682053405092115</v>
      </c>
      <c r="O15" s="43">
        <f t="shared" si="2"/>
        <v>-0.7285067873303168</v>
      </c>
      <c r="P15" s="43">
        <v>0.0112</v>
      </c>
      <c r="Q15" s="44">
        <v>32.77</v>
      </c>
      <c r="R15" s="45">
        <v>0.158</v>
      </c>
      <c r="S15" s="46">
        <f t="shared" si="3"/>
        <v>2.0740506329113924</v>
      </c>
      <c r="T15" s="47">
        <v>1.21</v>
      </c>
      <c r="U15" s="13"/>
      <c r="V15" s="13"/>
      <c r="W15" s="85">
        <v>55.25</v>
      </c>
      <c r="X15" s="36">
        <f t="shared" si="4"/>
        <v>-0.0196330848779314</v>
      </c>
      <c r="Y15" s="36">
        <f t="shared" si="5"/>
        <v>0.0003018373396885453</v>
      </c>
      <c r="Z15" s="33">
        <f t="shared" si="6"/>
        <v>0.883143716213717</v>
      </c>
      <c r="AA15" s="48">
        <f t="shared" si="7"/>
        <v>0.004258062470606264</v>
      </c>
      <c r="AB15" s="49">
        <f t="shared" si="8"/>
        <v>0.05589517191226056</v>
      </c>
      <c r="AC15" s="33">
        <f t="shared" si="9"/>
        <v>0.03260921259135177</v>
      </c>
    </row>
    <row r="16" spans="1:29" ht="12.75">
      <c r="A16" s="1" t="s">
        <v>35</v>
      </c>
      <c r="B16" s="79" t="s">
        <v>80</v>
      </c>
      <c r="C16" s="40" t="s">
        <v>69</v>
      </c>
      <c r="D16" s="41">
        <v>65</v>
      </c>
      <c r="E16" s="86">
        <f>77.5/2</f>
        <v>38.75</v>
      </c>
      <c r="F16" s="42">
        <v>35171</v>
      </c>
      <c r="G16" s="11">
        <v>49.5</v>
      </c>
      <c r="H16" s="4">
        <f t="shared" si="10"/>
        <v>-2469.25</v>
      </c>
      <c r="J16" s="87">
        <v>42</v>
      </c>
      <c r="K16" s="33">
        <f t="shared" si="11"/>
        <v>2730</v>
      </c>
      <c r="L16" s="34">
        <f t="shared" si="0"/>
        <v>0.025613737519987866</v>
      </c>
      <c r="M16" s="4">
        <f t="shared" si="12"/>
        <v>260.75</v>
      </c>
      <c r="N16" s="34">
        <f t="shared" si="1"/>
        <v>0.10559886605244508</v>
      </c>
      <c r="O16" s="43">
        <f t="shared" si="2"/>
        <v>-0.5882352941176471</v>
      </c>
      <c r="P16" s="43">
        <v>0.0104</v>
      </c>
      <c r="Q16" s="44">
        <v>50.89</v>
      </c>
      <c r="R16" s="45">
        <v>0.14</v>
      </c>
      <c r="S16" s="46">
        <f t="shared" si="3"/>
        <v>3.635</v>
      </c>
      <c r="T16" s="47">
        <v>1.1</v>
      </c>
      <c r="U16" s="13"/>
      <c r="V16" s="13"/>
      <c r="W16" s="85">
        <v>102</v>
      </c>
      <c r="X16" s="36">
        <f t="shared" si="4"/>
        <v>-0.016971822733352463</v>
      </c>
      <c r="Y16" s="36">
        <f t="shared" si="5"/>
        <v>0.0003000618259256715</v>
      </c>
      <c r="Z16" s="33">
        <f t="shared" si="6"/>
        <v>1.4682833001305213</v>
      </c>
      <c r="AA16" s="48">
        <f t="shared" si="7"/>
        <v>0.004039293810537886</v>
      </c>
      <c r="AB16" s="49">
        <f t="shared" si="8"/>
        <v>0.10487737858075152</v>
      </c>
      <c r="AC16" s="33">
        <f t="shared" si="9"/>
        <v>0.031737308511369106</v>
      </c>
    </row>
    <row r="17" spans="1:29" ht="12.75">
      <c r="A17" s="1" t="s">
        <v>43</v>
      </c>
      <c r="B17" s="40" t="s">
        <v>51</v>
      </c>
      <c r="C17" s="40" t="s">
        <v>77</v>
      </c>
      <c r="D17" s="41">
        <v>135</v>
      </c>
      <c r="E17" s="86">
        <v>37.4375</v>
      </c>
      <c r="F17" s="42">
        <v>35809</v>
      </c>
      <c r="G17" s="11">
        <v>29.95</v>
      </c>
      <c r="H17" s="4">
        <f t="shared" si="10"/>
        <v>-5024.1125</v>
      </c>
      <c r="J17" s="87">
        <v>18.375</v>
      </c>
      <c r="K17" s="33">
        <f t="shared" si="11"/>
        <v>2480.625</v>
      </c>
      <c r="L17" s="34">
        <f t="shared" si="0"/>
        <v>0.02327402111191205</v>
      </c>
      <c r="M17" s="4">
        <f t="shared" si="12"/>
        <v>-2543.4875</v>
      </c>
      <c r="N17" s="34">
        <f t="shared" si="1"/>
        <v>-0.5062560800539398</v>
      </c>
      <c r="O17" s="43">
        <f t="shared" si="2"/>
        <v>-0.20108695652173914</v>
      </c>
      <c r="P17" s="43">
        <v>0.1214</v>
      </c>
      <c r="Q17" s="44">
        <v>99</v>
      </c>
      <c r="R17" s="45">
        <v>0.076</v>
      </c>
      <c r="S17" s="46">
        <f t="shared" si="3"/>
        <v>13.026315789473685</v>
      </c>
      <c r="T17" s="47">
        <v>0.7</v>
      </c>
      <c r="U17" s="13"/>
      <c r="V17" s="13"/>
      <c r="W17" s="85">
        <v>23</v>
      </c>
      <c r="X17" s="36">
        <f t="shared" si="4"/>
        <v>-0.005271810353165954</v>
      </c>
      <c r="Y17" s="36">
        <f t="shared" si="5"/>
        <v>0.0031826916471589138</v>
      </c>
      <c r="Z17" s="33">
        <f t="shared" si="6"/>
        <v>2.595440470088406</v>
      </c>
      <c r="AA17" s="48">
        <f t="shared" si="7"/>
        <v>0.001992459350774938</v>
      </c>
      <c r="AB17" s="49">
        <f t="shared" si="8"/>
        <v>0.34150532501163233</v>
      </c>
      <c r="AC17" s="33">
        <f t="shared" si="9"/>
        <v>0.01835159928345337</v>
      </c>
    </row>
    <row r="18" spans="1:29" ht="12.75">
      <c r="A18" s="1" t="s">
        <v>42</v>
      </c>
      <c r="B18" s="40" t="s">
        <v>51</v>
      </c>
      <c r="C18" s="40" t="s">
        <v>76</v>
      </c>
      <c r="D18" s="41">
        <v>160</v>
      </c>
      <c r="E18" s="86">
        <v>30.875</v>
      </c>
      <c r="F18" s="42">
        <v>35614</v>
      </c>
      <c r="G18" s="11">
        <v>79.2</v>
      </c>
      <c r="H18" s="4">
        <f t="shared" si="10"/>
        <v>-4860.8</v>
      </c>
      <c r="J18" s="87">
        <v>22.6875</v>
      </c>
      <c r="K18" s="33">
        <f t="shared" si="11"/>
        <v>3630</v>
      </c>
      <c r="L18" s="34">
        <f t="shared" si="0"/>
        <v>0.03405782681229156</v>
      </c>
      <c r="M18" s="4">
        <f t="shared" si="12"/>
        <v>-1230.8000000000002</v>
      </c>
      <c r="N18" s="34">
        <f t="shared" si="1"/>
        <v>-0.25320934825543123</v>
      </c>
      <c r="O18" s="43">
        <f t="shared" si="2"/>
        <v>-0.1616628175519631</v>
      </c>
      <c r="P18" s="43">
        <v>0.0391</v>
      </c>
      <c r="Q18" s="44">
        <v>15.25</v>
      </c>
      <c r="R18" s="45">
        <v>0.105</v>
      </c>
      <c r="S18" s="46">
        <f t="shared" si="3"/>
        <v>1.4523809523809523</v>
      </c>
      <c r="T18" s="47">
        <v>0.26</v>
      </c>
      <c r="U18" s="13"/>
      <c r="V18" s="13"/>
      <c r="W18" s="85">
        <v>27.0625</v>
      </c>
      <c r="X18" s="36">
        <f t="shared" si="4"/>
        <v>-0.006201996689022211</v>
      </c>
      <c r="Y18" s="36">
        <f t="shared" si="5"/>
        <v>0.0015000237792021816</v>
      </c>
      <c r="Z18" s="33">
        <f t="shared" si="6"/>
        <v>0.58504763766837</v>
      </c>
      <c r="AA18" s="48">
        <f t="shared" si="7"/>
        <v>0.004028196849519924</v>
      </c>
      <c r="AB18" s="49">
        <f t="shared" si="8"/>
        <v>0.055718822635082856</v>
      </c>
      <c r="AC18" s="33">
        <f t="shared" si="9"/>
        <v>0.009974582675001719</v>
      </c>
    </row>
    <row r="19" spans="1:29" ht="12.75">
      <c r="A19" s="1" t="s">
        <v>33</v>
      </c>
      <c r="B19" s="40" t="s">
        <v>64</v>
      </c>
      <c r="C19" s="40" t="s">
        <v>67</v>
      </c>
      <c r="D19" s="41">
        <v>170</v>
      </c>
      <c r="E19" s="86">
        <v>42</v>
      </c>
      <c r="F19" s="42">
        <v>35809</v>
      </c>
      <c r="G19" s="11">
        <v>29.95</v>
      </c>
      <c r="H19" s="4">
        <f>-D19*E19+G19</f>
        <v>-7110.05</v>
      </c>
      <c r="J19" s="87">
        <v>15</v>
      </c>
      <c r="K19" s="33">
        <f>J19*D19</f>
        <v>2550</v>
      </c>
      <c r="L19" s="34">
        <f t="shared" si="0"/>
        <v>0.023924919661527128</v>
      </c>
      <c r="M19" s="4">
        <f>K19+H19</f>
        <v>-4560.05</v>
      </c>
      <c r="N19" s="34">
        <f t="shared" si="1"/>
        <v>-0.6413527331031428</v>
      </c>
      <c r="O19" s="43">
        <f t="shared" si="2"/>
        <v>-0.6486090775988287</v>
      </c>
      <c r="P19" s="43">
        <v>0</v>
      </c>
      <c r="Q19" s="44">
        <v>67.65</v>
      </c>
      <c r="R19" s="45">
        <v>0.246</v>
      </c>
      <c r="S19" s="46">
        <f t="shared" si="3"/>
        <v>2.75</v>
      </c>
      <c r="T19" s="47">
        <v>2.53</v>
      </c>
      <c r="U19" s="13"/>
      <c r="V19" s="13"/>
      <c r="W19" s="85">
        <v>42.6875</v>
      </c>
      <c r="X19" s="36">
        <f t="shared" si="4"/>
        <v>-0.01747986057859569</v>
      </c>
      <c r="Y19" s="36">
        <f t="shared" si="5"/>
        <v>0</v>
      </c>
      <c r="Z19" s="33">
        <f t="shared" si="6"/>
        <v>1.823151431243758</v>
      </c>
      <c r="AA19" s="48">
        <f t="shared" si="7"/>
        <v>0.00662964156815912</v>
      </c>
      <c r="AB19" s="49">
        <f t="shared" si="8"/>
        <v>0.07411184679852675</v>
      </c>
      <c r="AC19" s="33">
        <f t="shared" si="9"/>
        <v>0.0681828990546446</v>
      </c>
    </row>
    <row r="20" spans="1:29" ht="12.75">
      <c r="A20" s="1" t="s">
        <v>36</v>
      </c>
      <c r="B20" s="40" t="s">
        <v>64</v>
      </c>
      <c r="C20" s="40" t="s">
        <v>70</v>
      </c>
      <c r="D20" s="41">
        <f>100*2*2</f>
        <v>400</v>
      </c>
      <c r="E20" s="86">
        <v>23</v>
      </c>
      <c r="F20" s="42">
        <v>35171</v>
      </c>
      <c r="G20" s="11">
        <f>56.93/2</f>
        <v>28.465</v>
      </c>
      <c r="H20" s="4">
        <f>-D20*E20+G20</f>
        <v>-9171.535</v>
      </c>
      <c r="J20" s="87">
        <v>51</v>
      </c>
      <c r="K20" s="33">
        <f>J20*D20</f>
        <v>20400</v>
      </c>
      <c r="L20" s="34">
        <f t="shared" si="0"/>
        <v>0.19139935729221702</v>
      </c>
      <c r="M20" s="4">
        <f t="shared" si="12"/>
        <v>11228.465</v>
      </c>
      <c r="N20" s="34">
        <f t="shared" si="1"/>
        <v>1.2242732541499324</v>
      </c>
      <c r="O20" s="43">
        <f t="shared" si="2"/>
        <v>0.3936806148590948</v>
      </c>
      <c r="P20" s="43">
        <v>0</v>
      </c>
      <c r="Q20" s="44">
        <v>86.94</v>
      </c>
      <c r="R20" s="45">
        <v>0.33</v>
      </c>
      <c r="S20" s="46">
        <f t="shared" si="3"/>
        <v>2.6345454545454543</v>
      </c>
      <c r="T20" s="47">
        <v>1.62</v>
      </c>
      <c r="U20" s="13"/>
      <c r="V20" s="13"/>
      <c r="W20" s="85">
        <v>36.59375</v>
      </c>
      <c r="X20" s="36">
        <f t="shared" si="4"/>
        <v>0.0848767924828714</v>
      </c>
      <c r="Y20" s="36">
        <f t="shared" si="5"/>
        <v>0</v>
      </c>
      <c r="Z20" s="33">
        <f t="shared" si="6"/>
        <v>18.74409879465866</v>
      </c>
      <c r="AA20" s="48">
        <f t="shared" si="7"/>
        <v>0.07114737292658568</v>
      </c>
      <c r="AB20" s="49">
        <f t="shared" si="8"/>
        <v>0.5680029937775352</v>
      </c>
      <c r="AC20" s="33">
        <f t="shared" si="9"/>
        <v>0.34926892163960244</v>
      </c>
    </row>
    <row r="21" spans="1:29" ht="12.75">
      <c r="A21" s="1" t="s">
        <v>39</v>
      </c>
      <c r="B21" s="40" t="s">
        <v>64</v>
      </c>
      <c r="C21" s="40" t="s">
        <v>73</v>
      </c>
      <c r="D21" s="41">
        <v>3</v>
      </c>
      <c r="E21" s="86">
        <v>6</v>
      </c>
      <c r="F21" s="42">
        <v>36270</v>
      </c>
      <c r="G21" s="11">
        <v>0</v>
      </c>
      <c r="H21" s="4">
        <f t="shared" si="10"/>
        <v>-18</v>
      </c>
      <c r="J21" s="87">
        <v>7.875</v>
      </c>
      <c r="K21" s="33">
        <f t="shared" si="11"/>
        <v>23.625</v>
      </c>
      <c r="L21" s="34">
        <f t="shared" si="0"/>
        <v>0.0002216573439229719</v>
      </c>
      <c r="M21" s="4">
        <f t="shared" si="12"/>
        <v>5.625</v>
      </c>
      <c r="N21" s="34">
        <f t="shared" si="1"/>
        <v>0.3125</v>
      </c>
      <c r="O21" s="43">
        <f t="shared" si="2"/>
        <v>-0.015625</v>
      </c>
      <c r="P21" s="43">
        <v>0.0037</v>
      </c>
      <c r="Q21" s="44">
        <v>32.8</v>
      </c>
      <c r="R21" s="45">
        <v>0.099</v>
      </c>
      <c r="S21" s="46">
        <f t="shared" si="3"/>
        <v>3.3131313131313127</v>
      </c>
      <c r="T21" s="47">
        <v>0.93</v>
      </c>
      <c r="U21" s="13"/>
      <c r="V21" s="13"/>
      <c r="W21" s="85">
        <v>8</v>
      </c>
      <c r="X21" s="36">
        <f t="shared" si="4"/>
        <v>-3.901275357876993E-06</v>
      </c>
      <c r="Y21" s="36">
        <f t="shared" si="5"/>
        <v>9.238220047452719E-07</v>
      </c>
      <c r="Z21" s="33">
        <f t="shared" si="6"/>
        <v>0.008189557231255383</v>
      </c>
      <c r="AA21" s="48">
        <f t="shared" si="7"/>
        <v>2.4718480667508626E-05</v>
      </c>
      <c r="AB21" s="49">
        <f t="shared" si="8"/>
        <v>0.0008272280031571093</v>
      </c>
      <c r="AC21" s="33">
        <f t="shared" si="9"/>
        <v>0.00023220390930083862</v>
      </c>
    </row>
    <row r="22" spans="1:29" ht="12.75">
      <c r="A22" s="1" t="s">
        <v>34</v>
      </c>
      <c r="B22" s="40" t="s">
        <v>64</v>
      </c>
      <c r="C22" s="40" t="s">
        <v>68</v>
      </c>
      <c r="D22" s="41">
        <v>85</v>
      </c>
      <c r="E22" s="86">
        <v>58.25</v>
      </c>
      <c r="F22" s="42">
        <v>35171</v>
      </c>
      <c r="G22" s="11">
        <v>49.5</v>
      </c>
      <c r="H22" s="4">
        <f t="shared" si="10"/>
        <v>-4901.75</v>
      </c>
      <c r="J22" s="87">
        <v>147.25</v>
      </c>
      <c r="K22" s="33">
        <f t="shared" si="11"/>
        <v>12516.25</v>
      </c>
      <c r="L22" s="34">
        <f t="shared" si="0"/>
        <v>0.11743148067199564</v>
      </c>
      <c r="M22" s="4">
        <f t="shared" si="12"/>
        <v>7614.5</v>
      </c>
      <c r="N22" s="34">
        <f t="shared" si="1"/>
        <v>1.5534247972662825</v>
      </c>
      <c r="O22" s="43">
        <f t="shared" si="2"/>
        <v>1.4114636642784033</v>
      </c>
      <c r="P22" s="43">
        <v>0.0033</v>
      </c>
      <c r="Q22" s="44">
        <v>99</v>
      </c>
      <c r="R22" s="45">
        <v>0.195</v>
      </c>
      <c r="S22" s="46">
        <f t="shared" si="3"/>
        <v>5.076923076923077</v>
      </c>
      <c r="T22" s="47">
        <v>1.25</v>
      </c>
      <c r="U22" s="13"/>
      <c r="V22" s="13"/>
      <c r="W22" s="85">
        <v>61.0625</v>
      </c>
      <c r="X22" s="36">
        <f t="shared" si="4"/>
        <v>0.18670617982387075</v>
      </c>
      <c r="Y22" s="36">
        <f t="shared" si="5"/>
        <v>0.0004365187776433225</v>
      </c>
      <c r="Z22" s="33">
        <f t="shared" si="6"/>
        <v>13.095563329299676</v>
      </c>
      <c r="AA22" s="48">
        <f t="shared" si="7"/>
        <v>0.02579429140619633</v>
      </c>
      <c r="AB22" s="49">
        <f t="shared" si="8"/>
        <v>0.6715673502204962</v>
      </c>
      <c r="AC22" s="33">
        <f t="shared" si="9"/>
        <v>0.16534802183459185</v>
      </c>
    </row>
    <row r="23" spans="1:29" ht="12.75">
      <c r="A23" s="1" t="s">
        <v>92</v>
      </c>
      <c r="B23" s="40" t="s">
        <v>64</v>
      </c>
      <c r="C23" s="40" t="s">
        <v>93</v>
      </c>
      <c r="D23" s="41">
        <v>210</v>
      </c>
      <c r="E23" s="86">
        <v>13</v>
      </c>
      <c r="F23" s="42">
        <v>37544</v>
      </c>
      <c r="G23" s="11">
        <v>80.03</v>
      </c>
      <c r="H23" s="4">
        <f t="shared" si="10"/>
        <v>-2649.97</v>
      </c>
      <c r="J23" s="87">
        <v>52</v>
      </c>
      <c r="K23" s="33">
        <f t="shared" si="11"/>
        <v>10920</v>
      </c>
      <c r="L23" s="34">
        <f t="shared" si="0"/>
        <v>0.10245495007995147</v>
      </c>
      <c r="M23" s="4">
        <f t="shared" si="12"/>
        <v>8270.03</v>
      </c>
      <c r="N23" s="34">
        <f t="shared" si="1"/>
        <v>3.120801367562652</v>
      </c>
      <c r="O23" s="43">
        <f t="shared" si="2"/>
        <v>1.08</v>
      </c>
      <c r="P23" s="43">
        <v>0.0008</v>
      </c>
      <c r="Q23" s="44">
        <v>99</v>
      </c>
      <c r="R23" s="45">
        <v>0.196</v>
      </c>
      <c r="S23" s="46">
        <f t="shared" si="3"/>
        <v>5.051020408163265</v>
      </c>
      <c r="T23" s="47">
        <v>1.46</v>
      </c>
      <c r="U23" s="13"/>
      <c r="V23" s="13"/>
      <c r="W23" s="85">
        <v>25</v>
      </c>
      <c r="X23" s="36">
        <f t="shared" si="4"/>
        <v>0.12464106615374049</v>
      </c>
      <c r="Y23" s="36">
        <f t="shared" si="5"/>
        <v>9.232671566943739E-05</v>
      </c>
      <c r="Z23" s="33">
        <f t="shared" si="6"/>
        <v>11.425431064092876</v>
      </c>
      <c r="AA23" s="48">
        <f t="shared" si="7"/>
        <v>0.02262004533901216</v>
      </c>
      <c r="AB23" s="49">
        <f t="shared" si="8"/>
        <v>0.5829301563312691</v>
      </c>
      <c r="AC23" s="33">
        <f t="shared" si="9"/>
        <v>0.16849625609672322</v>
      </c>
    </row>
    <row r="24" spans="1:29" ht="12.75">
      <c r="A24" s="1" t="s">
        <v>40</v>
      </c>
      <c r="B24" s="40" t="s">
        <v>52</v>
      </c>
      <c r="C24" s="40" t="s">
        <v>74</v>
      </c>
      <c r="D24" s="41">
        <f>80*2</f>
        <v>160</v>
      </c>
      <c r="E24" s="86">
        <f>63.4375/2</f>
        <v>31.71875</v>
      </c>
      <c r="F24" s="42">
        <v>35809</v>
      </c>
      <c r="G24" s="11">
        <v>29.95</v>
      </c>
      <c r="H24" s="4">
        <f t="shared" si="10"/>
        <v>-5045.05</v>
      </c>
      <c r="J24" s="87">
        <v>40.9375</v>
      </c>
      <c r="K24" s="33">
        <f t="shared" si="11"/>
        <v>6550</v>
      </c>
      <c r="L24" s="34">
        <f t="shared" si="0"/>
        <v>0.06145420540509909</v>
      </c>
      <c r="M24" s="4">
        <f t="shared" si="12"/>
        <v>1504.9499999999998</v>
      </c>
      <c r="N24" s="34">
        <f t="shared" si="1"/>
        <v>0.29830229631024463</v>
      </c>
      <c r="O24" s="43">
        <f t="shared" si="2"/>
        <v>-0.08199018920812895</v>
      </c>
      <c r="P24" s="43">
        <v>0</v>
      </c>
      <c r="Q24" s="44">
        <v>19.24</v>
      </c>
      <c r="R24" s="45">
        <v>0.136</v>
      </c>
      <c r="S24" s="46">
        <f t="shared" si="3"/>
        <v>1.4147058823529408</v>
      </c>
      <c r="T24" s="47">
        <v>0.91</v>
      </c>
      <c r="U24" s="13"/>
      <c r="V24" s="13"/>
      <c r="W24" s="85">
        <v>44.59375</v>
      </c>
      <c r="X24" s="36">
        <f t="shared" si="4"/>
        <v>-0.005675680632772439</v>
      </c>
      <c r="Y24" s="36">
        <f t="shared" si="5"/>
        <v>0</v>
      </c>
      <c r="Z24" s="33">
        <f t="shared" si="6"/>
        <v>1.3318678299100088</v>
      </c>
      <c r="AA24" s="48">
        <f t="shared" si="7"/>
        <v>0.009414450356952247</v>
      </c>
      <c r="AB24" s="49">
        <f t="shared" si="8"/>
        <v>0.09793145808161828</v>
      </c>
      <c r="AC24" s="33">
        <f t="shared" si="9"/>
        <v>0.06299374871195988</v>
      </c>
    </row>
    <row r="25" spans="1:29" ht="12.75">
      <c r="A25" s="1"/>
      <c r="B25" s="1"/>
      <c r="C25" s="1"/>
      <c r="D25" s="41"/>
      <c r="E25" s="16"/>
      <c r="F25" s="42"/>
      <c r="G25" s="1"/>
      <c r="H25" s="50">
        <f>SUM(H11:H24)</f>
        <v>-62092.067500000005</v>
      </c>
      <c r="I25" s="51"/>
      <c r="J25" s="52"/>
      <c r="K25" s="53">
        <f>SUM(K11:K24)</f>
        <v>94620.5</v>
      </c>
      <c r="L25" s="54">
        <f>K25/K30</f>
        <v>0.8877599454249128</v>
      </c>
      <c r="M25" s="50">
        <f>SUM(M11:M24)</f>
        <v>32528.432500000006</v>
      </c>
      <c r="N25" s="54">
        <f t="shared" si="1"/>
        <v>0.5238742050262701</v>
      </c>
      <c r="O25" s="55">
        <f>N30</f>
        <v>-0.38461540682206175</v>
      </c>
      <c r="P25" s="56">
        <v>0.004038668231122862</v>
      </c>
      <c r="Q25" s="57">
        <v>67.77538710407475</v>
      </c>
      <c r="R25" s="58">
        <v>0.2080660256482865</v>
      </c>
      <c r="S25" s="59">
        <f>AB25</f>
        <v>3.554551082012349</v>
      </c>
      <c r="T25" s="60">
        <v>1.4319602320743277</v>
      </c>
      <c r="U25" s="61"/>
      <c r="V25" s="1"/>
      <c r="W25" s="3"/>
      <c r="X25" s="54">
        <f aca="true" t="shared" si="13" ref="X25:AC25">SUM(X11:X24)</f>
        <v>0.4167687691982248</v>
      </c>
      <c r="Y25" s="37">
        <f t="shared" si="13"/>
        <v>0.00863106739554325</v>
      </c>
      <c r="Z25" s="62">
        <f t="shared" si="13"/>
        <v>68.07748453030791</v>
      </c>
      <c r="AA25" s="63">
        <f t="shared" si="13"/>
        <v>0.2046876218684112</v>
      </c>
      <c r="AB25" s="62">
        <f t="shared" si="13"/>
        <v>3.554551082012349</v>
      </c>
      <c r="AC25" s="62">
        <f t="shared" si="13"/>
        <v>1.1745860701433621</v>
      </c>
    </row>
    <row r="26" spans="1:29" ht="12.75">
      <c r="A26" s="1"/>
      <c r="B26" s="1"/>
      <c r="C26" s="1"/>
      <c r="D26" s="41"/>
      <c r="E26" s="16"/>
      <c r="F26" s="42"/>
      <c r="G26" s="1"/>
      <c r="H26" s="4"/>
      <c r="J26" s="33"/>
      <c r="K26" s="64"/>
      <c r="L26" s="34"/>
      <c r="M26" s="4"/>
      <c r="N26" s="65" t="s">
        <v>45</v>
      </c>
      <c r="O26" s="65">
        <f>F39</f>
        <v>0.21</v>
      </c>
      <c r="P26" s="56">
        <v>0.0097</v>
      </c>
      <c r="Q26" s="66">
        <v>32.33</v>
      </c>
      <c r="R26" s="58">
        <v>0.125</v>
      </c>
      <c r="S26" s="67">
        <f t="shared" si="3"/>
        <v>2.5864</v>
      </c>
      <c r="T26" s="60">
        <v>1</v>
      </c>
      <c r="U26" s="61"/>
      <c r="V26" s="1"/>
      <c r="W26" s="3"/>
      <c r="X26" s="1"/>
      <c r="Y26" s="1"/>
      <c r="Z26" s="34"/>
      <c r="AA26" s="64"/>
      <c r="AB26" s="64"/>
      <c r="AC26" s="68"/>
    </row>
    <row r="27" spans="1:25" ht="12.75">
      <c r="A27" s="1"/>
      <c r="B27" s="1"/>
      <c r="C27" s="1"/>
      <c r="D27" s="41"/>
      <c r="E27" s="16"/>
      <c r="F27" s="42"/>
      <c r="G27" s="1"/>
      <c r="H27" s="4"/>
      <c r="I27" s="1"/>
      <c r="J27" s="1"/>
      <c r="K27" s="2"/>
      <c r="L27" s="42"/>
      <c r="M27" s="4"/>
      <c r="N27" s="81" t="s">
        <v>62</v>
      </c>
      <c r="O27" s="82">
        <f aca="true" t="shared" si="14" ref="O27:T27">O25/O26-1</f>
        <v>-2.8315019372479133</v>
      </c>
      <c r="P27" s="82">
        <f t="shared" si="14"/>
        <v>-0.583642450399705</v>
      </c>
      <c r="Q27" s="82">
        <f t="shared" si="14"/>
        <v>1.0963621127149632</v>
      </c>
      <c r="R27" s="82">
        <f t="shared" si="14"/>
        <v>0.664528205186292</v>
      </c>
      <c r="S27" s="82">
        <f t="shared" si="14"/>
        <v>0.37432380220087746</v>
      </c>
      <c r="T27" s="83">
        <f t="shared" si="14"/>
        <v>0.43196023207432765</v>
      </c>
      <c r="U27" s="1"/>
      <c r="V27" s="1"/>
      <c r="W27" s="3"/>
      <c r="X27" s="1"/>
      <c r="Y27" s="1"/>
    </row>
    <row r="28" spans="1:25" ht="12.75">
      <c r="A28" s="1"/>
      <c r="B28" s="1"/>
      <c r="C28" s="1"/>
      <c r="D28" s="41"/>
      <c r="E28" s="16"/>
      <c r="F28" s="42"/>
      <c r="G28" s="1"/>
      <c r="H28" s="4"/>
      <c r="I28" s="1"/>
      <c r="J28" s="1"/>
      <c r="K28" s="2"/>
      <c r="L28" s="42"/>
      <c r="M28" s="4"/>
      <c r="N28" s="1"/>
      <c r="O28" s="69"/>
      <c r="P28" s="69"/>
      <c r="Q28" s="69"/>
      <c r="R28" s="69"/>
      <c r="S28" s="69"/>
      <c r="T28" s="69"/>
      <c r="U28" s="1"/>
      <c r="V28" s="1"/>
      <c r="W28" s="3"/>
      <c r="X28" s="1"/>
      <c r="Y28" s="1"/>
    </row>
    <row r="29" spans="1:29" ht="12.75">
      <c r="A29" s="1"/>
      <c r="B29" s="1"/>
      <c r="C29" s="1"/>
      <c r="D29" s="41"/>
      <c r="E29" s="16"/>
      <c r="I29" s="1"/>
      <c r="J29" s="1"/>
      <c r="K29" s="2"/>
      <c r="L29" s="42"/>
      <c r="M29" s="4"/>
      <c r="N29" s="1" t="s">
        <v>46</v>
      </c>
      <c r="O29" s="1"/>
      <c r="P29" s="5"/>
      <c r="Q29" s="3"/>
      <c r="R29" s="3"/>
      <c r="S29" s="3"/>
      <c r="T29" s="3"/>
      <c r="U29" s="1"/>
      <c r="V29" s="1"/>
      <c r="W29" s="3"/>
      <c r="X29" s="1"/>
      <c r="Y29" s="1"/>
      <c r="Z29" s="1"/>
      <c r="AA29" s="1"/>
      <c r="AB29" s="1"/>
      <c r="AC29" s="1"/>
    </row>
    <row r="30" spans="1:29" ht="12.75">
      <c r="A30" s="1"/>
      <c r="B30" s="1"/>
      <c r="C30" s="1"/>
      <c r="D30" s="41"/>
      <c r="E30" s="16"/>
      <c r="G30" s="70" t="s">
        <v>91</v>
      </c>
      <c r="H30" s="64">
        <v>173198.08</v>
      </c>
      <c r="I30" s="70" t="s">
        <v>47</v>
      </c>
      <c r="J30" s="71">
        <v>38632</v>
      </c>
      <c r="K30" s="64">
        <f>K25+K8</f>
        <v>106583.43</v>
      </c>
      <c r="L30" s="34">
        <f>L25+L8</f>
        <v>1</v>
      </c>
      <c r="M30" s="4">
        <f>K30-H32</f>
        <v>-66614.65</v>
      </c>
      <c r="N30" s="34">
        <f>(K30-H30-0.5*H31)/(H30+0.5*H31)</f>
        <v>-0.38461540682206175</v>
      </c>
      <c r="O30" s="1" t="s">
        <v>9</v>
      </c>
      <c r="P30" s="5"/>
      <c r="Q30" s="3"/>
      <c r="R30" s="3"/>
      <c r="S30" s="3"/>
      <c r="T30" s="3"/>
      <c r="U30" s="1"/>
      <c r="V30" s="1"/>
      <c r="W30" s="3"/>
      <c r="X30" s="1"/>
      <c r="Y30" s="1"/>
      <c r="Z30" s="1"/>
      <c r="AA30" s="1"/>
      <c r="AB30" s="1"/>
      <c r="AC30" s="1"/>
    </row>
    <row r="31" spans="1:29" ht="12.75">
      <c r="A31" s="1"/>
      <c r="B31" s="1"/>
      <c r="C31" s="1"/>
      <c r="D31" s="41"/>
      <c r="E31" s="16"/>
      <c r="G31" s="70" t="s">
        <v>48</v>
      </c>
      <c r="H31" s="72">
        <v>0</v>
      </c>
      <c r="I31" s="70"/>
      <c r="J31" s="73"/>
      <c r="K31" s="64"/>
      <c r="L31" s="34"/>
      <c r="M31" s="4">
        <f>K30-H36</f>
        <v>-102065.77250000002</v>
      </c>
      <c r="N31" s="34">
        <f>(K30-H34-0.5*H35)/(H34+0.5*H35)</f>
        <v>-0.48917403602345433</v>
      </c>
      <c r="O31" s="1" t="s">
        <v>15</v>
      </c>
      <c r="P31" s="5"/>
      <c r="Q31" s="3"/>
      <c r="R31" s="3"/>
      <c r="S31" s="3"/>
      <c r="T31" s="3"/>
      <c r="U31" s="1"/>
      <c r="V31" s="1"/>
      <c r="W31" s="3"/>
      <c r="X31" s="1"/>
      <c r="Y31" s="1"/>
      <c r="Z31" s="1"/>
      <c r="AA31" s="1"/>
      <c r="AB31" s="1"/>
      <c r="AC31" s="1"/>
    </row>
    <row r="32" spans="1:29" ht="12.75">
      <c r="A32" s="1"/>
      <c r="B32" s="1"/>
      <c r="C32" s="1"/>
      <c r="D32" s="41"/>
      <c r="E32" s="16"/>
      <c r="G32" s="70" t="s">
        <v>49</v>
      </c>
      <c r="H32" s="4">
        <f>H30+H31</f>
        <v>173198.08</v>
      </c>
      <c r="I32" s="70"/>
      <c r="J32" s="71"/>
      <c r="K32" s="36"/>
      <c r="L32" s="34"/>
      <c r="M32" s="4"/>
      <c r="P32" s="5"/>
      <c r="Q32" s="3"/>
      <c r="R32" s="3"/>
      <c r="S32" s="3"/>
      <c r="T32" s="3"/>
      <c r="U32" s="1"/>
      <c r="V32" s="1"/>
      <c r="W32" s="3"/>
      <c r="X32" s="1"/>
      <c r="Y32" s="1"/>
      <c r="Z32" s="1"/>
      <c r="AA32" s="1"/>
      <c r="AB32" s="1"/>
      <c r="AC32" s="1"/>
    </row>
    <row r="33" spans="1:29" ht="12.75">
      <c r="A33" s="1"/>
      <c r="B33" s="1"/>
      <c r="C33" s="1"/>
      <c r="D33" s="41"/>
      <c r="E33" s="16"/>
      <c r="I33" s="70"/>
      <c r="J33" s="71"/>
      <c r="K33" s="64"/>
      <c r="L33" s="34"/>
      <c r="N33" s="36">
        <f>K30/75000-1</f>
        <v>0.42111239999999994</v>
      </c>
      <c r="O33" s="1" t="s">
        <v>50</v>
      </c>
      <c r="P33" s="5"/>
      <c r="Q33" s="3"/>
      <c r="R33" s="3"/>
      <c r="S33" s="3"/>
      <c r="T33" s="3"/>
      <c r="U33" s="1"/>
      <c r="V33" s="1"/>
      <c r="W33" s="3"/>
      <c r="X33" s="1"/>
      <c r="Y33" s="1"/>
      <c r="Z33" s="1"/>
      <c r="AA33" s="1"/>
      <c r="AB33" s="1"/>
      <c r="AC33" s="1"/>
    </row>
    <row r="34" spans="4:23" s="1" customFormat="1" ht="12.75">
      <c r="D34" s="41"/>
      <c r="E34" s="16"/>
      <c r="F34"/>
      <c r="G34" s="70" t="s">
        <v>86</v>
      </c>
      <c r="H34" s="64">
        <v>208649.2025</v>
      </c>
      <c r="K34" s="2"/>
      <c r="L34" s="73" t="s">
        <v>79</v>
      </c>
      <c r="M34" s="80" t="s">
        <v>45</v>
      </c>
      <c r="N34" s="36"/>
      <c r="O34"/>
      <c r="P34" s="74"/>
      <c r="Q34" s="3"/>
      <c r="R34" s="3"/>
      <c r="S34" s="3"/>
      <c r="T34" s="3"/>
      <c r="W34" s="3"/>
    </row>
    <row r="35" spans="4:23" s="1" customFormat="1" ht="12.75">
      <c r="D35" s="41"/>
      <c r="E35" s="16"/>
      <c r="F35" s="42"/>
      <c r="G35" s="70" t="s">
        <v>55</v>
      </c>
      <c r="H35" s="72">
        <v>0</v>
      </c>
      <c r="K35" s="77" t="s">
        <v>64</v>
      </c>
      <c r="L35" s="34">
        <v>0.668883021320293</v>
      </c>
      <c r="M35" s="36">
        <v>0.2169</v>
      </c>
      <c r="P35" s="5"/>
      <c r="Q35" s="3"/>
      <c r="R35" s="3"/>
      <c r="S35" s="3"/>
      <c r="T35" s="3"/>
      <c r="W35" s="3"/>
    </row>
    <row r="36" spans="4:23" s="1" customFormat="1" ht="12.75">
      <c r="D36" s="41"/>
      <c r="E36" s="16"/>
      <c r="F36"/>
      <c r="G36" s="70" t="s">
        <v>49</v>
      </c>
      <c r="H36" s="4">
        <f>H34+H35</f>
        <v>208649.2025</v>
      </c>
      <c r="K36" s="77" t="s">
        <v>65</v>
      </c>
      <c r="L36" s="34">
        <v>0.18412886900645395</v>
      </c>
      <c r="M36" s="36">
        <v>0.1057</v>
      </c>
      <c r="P36" s="5"/>
      <c r="Q36" s="3"/>
      <c r="R36" s="3"/>
      <c r="S36" s="3"/>
      <c r="T36" s="3"/>
      <c r="W36" s="3"/>
    </row>
    <row r="37" spans="3:23" s="1" customFormat="1" ht="12.75">
      <c r="C37" s="70"/>
      <c r="D37" s="34"/>
      <c r="E37" s="16"/>
      <c r="F37" s="70"/>
      <c r="G37" s="34"/>
      <c r="K37" s="77" t="s">
        <v>80</v>
      </c>
      <c r="L37" s="34">
        <v>0.03468841762928082</v>
      </c>
      <c r="M37" s="36">
        <v>0.1195</v>
      </c>
      <c r="N37" s="42"/>
      <c r="P37" s="74"/>
      <c r="Q37" s="3"/>
      <c r="R37" s="3"/>
      <c r="S37" s="3"/>
      <c r="T37" s="3"/>
      <c r="W37" s="3"/>
    </row>
    <row r="38" spans="1:23" s="1" customFormat="1" ht="12.75">
      <c r="A38" s="75" t="s">
        <v>56</v>
      </c>
      <c r="B38" s="75"/>
      <c r="E38" s="18" t="s">
        <v>57</v>
      </c>
      <c r="F38" s="3" t="s">
        <v>58</v>
      </c>
      <c r="G38" s="76" t="s">
        <v>59</v>
      </c>
      <c r="K38" s="77" t="s">
        <v>54</v>
      </c>
      <c r="L38" s="34">
        <v>0.027674039306271016</v>
      </c>
      <c r="M38" s="36">
        <v>0.0642</v>
      </c>
      <c r="P38" s="5"/>
      <c r="Q38" s="3"/>
      <c r="R38" s="3"/>
      <c r="S38" s="3"/>
      <c r="T38" s="3"/>
      <c r="W38" s="3"/>
    </row>
    <row r="39" spans="3:23" s="1" customFormat="1" ht="12.75">
      <c r="C39" s="70" t="s">
        <v>60</v>
      </c>
      <c r="D39" s="34">
        <f>N30</f>
        <v>-0.38461540682206175</v>
      </c>
      <c r="E39" s="5">
        <v>0.27308312628312714</v>
      </c>
      <c r="F39" s="35">
        <v>0.21</v>
      </c>
      <c r="G39" s="35">
        <v>0.8558528565369476</v>
      </c>
      <c r="H39" s="35">
        <f>D39-F39</f>
        <v>-0.5946154068220617</v>
      </c>
      <c r="K39" s="77" t="s">
        <v>52</v>
      </c>
      <c r="L39" s="34">
        <v>0.023042525722604106</v>
      </c>
      <c r="M39" s="36">
        <v>0</v>
      </c>
      <c r="N39" s="1" t="s">
        <v>85</v>
      </c>
      <c r="P39" s="5"/>
      <c r="Q39" s="3"/>
      <c r="R39" s="3"/>
      <c r="S39" s="3"/>
      <c r="T39" s="3"/>
      <c r="W39" s="3"/>
    </row>
    <row r="40" spans="3:23" s="1" customFormat="1" ht="12.75">
      <c r="C40" s="70" t="s">
        <v>61</v>
      </c>
      <c r="D40" s="34">
        <f>N31</f>
        <v>-0.48917403602345433</v>
      </c>
      <c r="E40" s="5">
        <v>0.11745238428873048</v>
      </c>
      <c r="F40" s="35">
        <v>0.1489491399361272</v>
      </c>
      <c r="G40" s="35">
        <v>0.4818182480263351</v>
      </c>
      <c r="H40" s="35">
        <f>D40-F40</f>
        <v>-0.6381231759595816</v>
      </c>
      <c r="K40" s="77" t="s">
        <v>51</v>
      </c>
      <c r="L40" s="34">
        <v>0.020805594138956333</v>
      </c>
      <c r="M40" s="36">
        <v>0.1502</v>
      </c>
      <c r="P40" s="5"/>
      <c r="Q40" s="3"/>
      <c r="R40" s="3"/>
      <c r="S40" s="3"/>
      <c r="T40" s="3"/>
      <c r="W40" s="3"/>
    </row>
    <row r="41" spans="3:23" s="1" customFormat="1" ht="12.75">
      <c r="C41" s="70"/>
      <c r="D41" s="34"/>
      <c r="E41" s="18"/>
      <c r="G41" s="11"/>
      <c r="K41" s="78" t="s">
        <v>81</v>
      </c>
      <c r="L41" s="36">
        <v>0</v>
      </c>
      <c r="M41" s="36">
        <v>0.0216</v>
      </c>
      <c r="P41" s="5"/>
      <c r="Q41" s="3"/>
      <c r="R41" s="3"/>
      <c r="S41" s="3"/>
      <c r="T41" s="3"/>
      <c r="W41" s="3"/>
    </row>
    <row r="42" spans="11:15" ht="12.75">
      <c r="K42" s="70" t="s">
        <v>82</v>
      </c>
      <c r="L42" s="36">
        <v>0</v>
      </c>
      <c r="M42" s="36">
        <v>0.0805</v>
      </c>
      <c r="N42" s="1"/>
      <c r="O42" s="1"/>
    </row>
    <row r="43" spans="11:15" ht="12.75">
      <c r="K43" s="70" t="s">
        <v>83</v>
      </c>
      <c r="L43" s="36">
        <v>0</v>
      </c>
      <c r="M43" s="36">
        <v>0.1532</v>
      </c>
      <c r="N43" s="1"/>
      <c r="O43" s="1"/>
    </row>
    <row r="44" spans="11:15" ht="12.75">
      <c r="K44" s="70" t="s">
        <v>84</v>
      </c>
      <c r="L44" s="34">
        <v>0</v>
      </c>
      <c r="M44" s="84">
        <v>0.0638</v>
      </c>
      <c r="N44" s="1"/>
      <c r="O44" s="1"/>
    </row>
  </sheetData>
  <printOptions/>
  <pageMargins left="0.25" right="0.25" top="0.5" bottom="0.5" header="0.5" footer="0.5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Heron Capital Management,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Edwards</dc:creator>
  <cp:keywords/>
  <dc:description/>
  <cp:lastModifiedBy>Administrator</cp:lastModifiedBy>
  <cp:lastPrinted>2000-01-07T14:59:23Z</cp:lastPrinted>
  <dcterms:created xsi:type="dcterms:W3CDTF">1999-12-30T04:43:26Z</dcterms:created>
  <dcterms:modified xsi:type="dcterms:W3CDTF">2005-10-06T18:31:25Z</dcterms:modified>
  <cp:category/>
  <cp:version/>
  <cp:contentType/>
  <cp:contentStatus/>
</cp:coreProperties>
</file>